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570" yWindow="60" windowWidth="7005" windowHeight="11730"/>
  </bookViews>
  <sheets>
    <sheet name="Hoja1" sheetId="1" r:id="rId1"/>
    <sheet name="Hoja2" sheetId="2" r:id="rId2"/>
    <sheet name="Hoja3" sheetId="3" r:id="rId3"/>
  </sheets>
  <calcPr calcId="145621"/>
</workbook>
</file>

<file path=xl/calcChain.xml><?xml version="1.0" encoding="utf-8"?>
<calcChain xmlns="http://schemas.openxmlformats.org/spreadsheetml/2006/main">
  <c r="C10" i="1" l="1"/>
  <c r="G23" i="1" s="1"/>
  <c r="C9" i="1"/>
  <c r="D9" i="1" s="1"/>
  <c r="C8" i="1"/>
  <c r="C7" i="1"/>
  <c r="C6" i="1"/>
  <c r="I7" i="1" s="1"/>
  <c r="I11" i="1"/>
  <c r="I10" i="1"/>
  <c r="I9" i="1"/>
  <c r="I8" i="1"/>
  <c r="C12" i="1"/>
  <c r="H13" i="1"/>
  <c r="H6" i="1"/>
  <c r="H7" i="1"/>
  <c r="H8" i="1"/>
  <c r="H9" i="1"/>
  <c r="H10" i="1"/>
  <c r="H11" i="1"/>
  <c r="H12" i="1"/>
  <c r="H14" i="1"/>
  <c r="H15" i="1"/>
  <c r="D8" i="1" l="1"/>
  <c r="D7" i="1" s="1"/>
  <c r="G19" i="1"/>
  <c r="G20" i="1"/>
  <c r="G21" i="1"/>
  <c r="G22" i="1"/>
  <c r="E9" i="1"/>
  <c r="E10" i="1"/>
  <c r="E8" i="1" l="1"/>
  <c r="J8" i="1"/>
  <c r="D6" i="1"/>
  <c r="E7" i="1"/>
  <c r="K8" i="1" s="1"/>
  <c r="I20" i="1" s="1"/>
  <c r="H20" i="1"/>
  <c r="J10" i="1"/>
  <c r="J9" i="1"/>
  <c r="K9" i="1"/>
  <c r="H21" i="1" s="1"/>
  <c r="J7" i="1" l="1"/>
  <c r="E6" i="1"/>
  <c r="K7" i="1" s="1"/>
  <c r="H19" i="1" s="1"/>
  <c r="I21" i="1"/>
  <c r="K10" i="1"/>
  <c r="D72" i="1"/>
  <c r="D58" i="1"/>
  <c r="D44" i="1"/>
  <c r="D30" i="1"/>
  <c r="D18" i="1"/>
  <c r="B88" i="1"/>
  <c r="B18" i="1"/>
  <c r="C18" i="1" s="1"/>
  <c r="I19" i="1" l="1"/>
  <c r="H22" i="1"/>
  <c r="I22" i="1"/>
  <c r="K11" i="1"/>
  <c r="J11" i="1"/>
  <c r="B20" i="1"/>
  <c r="B21" i="1"/>
  <c r="E11" i="1" l="1"/>
  <c r="H23" i="1"/>
  <c r="I23" i="1"/>
  <c r="K12" i="1"/>
  <c r="I24" i="1"/>
  <c r="H24" i="1"/>
  <c r="B24" i="1"/>
  <c r="C24" i="1" s="1"/>
  <c r="C21" i="1"/>
  <c r="B23" i="1"/>
  <c r="C23" i="1" s="1"/>
  <c r="C20" i="1"/>
  <c r="B22" i="1"/>
  <c r="B25" i="1" s="1"/>
  <c r="H25" i="1" l="1"/>
  <c r="C25" i="1"/>
  <c r="B26" i="1"/>
  <c r="C26" i="1" s="1"/>
  <c r="B30" i="1"/>
  <c r="C22" i="1"/>
  <c r="B32" i="1" l="1"/>
  <c r="C32" i="1" s="1"/>
  <c r="C30" i="1"/>
  <c r="B31" i="1"/>
  <c r="C31" i="1" l="1"/>
  <c r="B35" i="1"/>
  <c r="B34" i="1"/>
  <c r="C34" i="1" l="1"/>
  <c r="B36" i="1"/>
  <c r="B38" i="1"/>
  <c r="C38" i="1" s="1"/>
  <c r="C35" i="1"/>
  <c r="B37" i="1"/>
  <c r="C37" i="1" s="1"/>
  <c r="C36" i="1" l="1"/>
  <c r="B39" i="1"/>
  <c r="B40" i="1" l="1"/>
  <c r="C40" i="1" s="1"/>
  <c r="C39" i="1"/>
  <c r="B44" i="1"/>
  <c r="B46" i="1" l="1"/>
  <c r="C46" i="1" s="1"/>
  <c r="C44" i="1"/>
  <c r="B45" i="1"/>
  <c r="C45" i="1" l="1"/>
  <c r="B49" i="1"/>
  <c r="B48" i="1"/>
  <c r="C48" i="1" l="1"/>
  <c r="B50" i="1"/>
  <c r="B52" i="1"/>
  <c r="C52" i="1" s="1"/>
  <c r="C49" i="1"/>
  <c r="B51" i="1"/>
  <c r="C51" i="1" s="1"/>
  <c r="C50" i="1" l="1"/>
  <c r="B53" i="1"/>
  <c r="C53" i="1" l="1"/>
  <c r="B54" i="1"/>
  <c r="C54" i="1" l="1"/>
  <c r="B58" i="1"/>
  <c r="B60" i="1" l="1"/>
  <c r="C60" i="1" s="1"/>
  <c r="C58" i="1"/>
  <c r="B59" i="1"/>
  <c r="C59" i="1" l="1"/>
  <c r="B63" i="1"/>
  <c r="B62" i="1"/>
  <c r="C62" i="1" l="1"/>
  <c r="B64" i="1"/>
  <c r="B89" i="1"/>
  <c r="B66" i="1"/>
  <c r="C66" i="1" s="1"/>
  <c r="C63" i="1"/>
  <c r="B65" i="1"/>
  <c r="C65" i="1" s="1"/>
  <c r="C89" i="1" l="1"/>
  <c r="B90" i="1"/>
  <c r="C90" i="1" s="1"/>
  <c r="C64" i="1"/>
  <c r="B91" i="1"/>
  <c r="B67" i="1"/>
  <c r="B68" i="1" l="1"/>
  <c r="C68" i="1" s="1"/>
  <c r="C67" i="1"/>
  <c r="B72" i="1"/>
  <c r="C91" i="1"/>
  <c r="B92" i="1"/>
  <c r="C92" i="1" s="1"/>
  <c r="B93" i="1" l="1"/>
  <c r="B94" i="1" s="1"/>
  <c r="C94" i="1" s="1"/>
  <c r="C93" i="1"/>
  <c r="B74" i="1"/>
  <c r="C74" i="1" s="1"/>
  <c r="C72" i="1"/>
  <c r="B73" i="1"/>
  <c r="C73" i="1" l="1"/>
  <c r="B77" i="1"/>
  <c r="B76" i="1"/>
  <c r="C76" i="1" l="1"/>
  <c r="B78" i="1"/>
  <c r="B80" i="1"/>
  <c r="C80" i="1" s="1"/>
  <c r="C77" i="1"/>
  <c r="B79" i="1"/>
  <c r="C79" i="1" s="1"/>
  <c r="C78" i="1" l="1"/>
  <c r="B81" i="1"/>
  <c r="B82" i="1" l="1"/>
  <c r="C82" i="1" s="1"/>
  <c r="C81" i="1"/>
</calcChain>
</file>

<file path=xl/comments1.xml><?xml version="1.0" encoding="utf-8"?>
<comments xmlns="http://schemas.openxmlformats.org/spreadsheetml/2006/main">
  <authors>
    <author>Martín</author>
  </authors>
  <commentList>
    <comment ref="B5" authorId="0">
      <text>
        <r>
          <rPr>
            <b/>
            <sz val="8"/>
            <color indexed="81"/>
            <rFont val="Tahoma"/>
            <family val="2"/>
          </rPr>
          <t>Alícuota legal del IVA</t>
        </r>
      </text>
    </comment>
    <comment ref="B6" authorId="0">
      <text>
        <r>
          <rPr>
            <b/>
            <sz val="8"/>
            <color indexed="81"/>
            <rFont val="Tahoma"/>
            <charset val="1"/>
          </rPr>
          <t>Alícuota promedio del Impuesto a los Ingresos Brutos</t>
        </r>
      </text>
    </comment>
    <comment ref="B7" authorId="0">
      <text>
        <r>
          <rPr>
            <b/>
            <sz val="8"/>
            <color indexed="81"/>
            <rFont val="Tahoma"/>
            <charset val="1"/>
          </rPr>
          <t>Alícuota del Impuesto a los Débitos y Créditos Bancarios</t>
        </r>
      </text>
    </comment>
    <comment ref="B8" authorId="0">
      <text>
        <r>
          <rPr>
            <b/>
            <sz val="8"/>
            <color indexed="81"/>
            <rFont val="Tahoma"/>
            <family val="2"/>
          </rPr>
          <t>Porcentual mensual de inflación</t>
        </r>
      </text>
    </comment>
    <comment ref="B9" authorId="0">
      <text>
        <r>
          <rPr>
            <b/>
            <sz val="8"/>
            <color indexed="81"/>
            <rFont val="Tahoma"/>
            <family val="2"/>
          </rPr>
          <t>Cantidad de sucesivos proveedores: 1 mínimo y 5 máximo</t>
        </r>
      </text>
    </comment>
    <comment ref="B10" authorId="0">
      <text>
        <r>
          <rPr>
            <b/>
            <sz val="8"/>
            <color indexed="81"/>
            <rFont val="Tahoma"/>
            <family val="2"/>
          </rPr>
          <t>Cantidad de días de cada proveedor</t>
        </r>
      </text>
    </comment>
    <comment ref="D10" authorId="0">
      <text>
        <r>
          <rPr>
            <b/>
            <sz val="8"/>
            <color indexed="81"/>
            <rFont val="Tahoma"/>
            <charset val="1"/>
          </rPr>
          <t>Importe del precio sin IVA</t>
        </r>
      </text>
    </comment>
    <comment ref="B11" authorId="0">
      <text>
        <r>
          <rPr>
            <b/>
            <sz val="8"/>
            <color indexed="81"/>
            <rFont val="Tahoma"/>
            <family val="2"/>
          </rPr>
          <t>Proporción de valor agregado en el primer proveedor</t>
        </r>
      </text>
    </comment>
    <comment ref="B12" authorId="0">
      <text>
        <r>
          <rPr>
            <b/>
            <sz val="8"/>
            <color indexed="81"/>
            <rFont val="Tahoma"/>
            <family val="2"/>
          </rPr>
          <t>Proporción de valor agregado en cada sucesivo proveedor</t>
        </r>
      </text>
    </comment>
    <comment ref="B13" authorId="0">
      <text>
        <r>
          <rPr>
            <b/>
            <sz val="8"/>
            <color indexed="81"/>
            <rFont val="Tahoma"/>
            <family val="2"/>
          </rPr>
          <t>Costo financiero mensual</t>
        </r>
      </text>
    </comment>
    <comment ref="B14" authorId="0">
      <text>
        <r>
          <rPr>
            <b/>
            <sz val="8"/>
            <color indexed="81"/>
            <rFont val="Tahoma"/>
            <family val="2"/>
          </rPr>
          <t>proporción de administrar el IVA</t>
        </r>
      </text>
    </comment>
  </commentList>
</comments>
</file>

<file path=xl/sharedStrings.xml><?xml version="1.0" encoding="utf-8"?>
<sst xmlns="http://schemas.openxmlformats.org/spreadsheetml/2006/main" count="138" uniqueCount="58">
  <si>
    <t>Alícuota aparente del IVA:</t>
  </si>
  <si>
    <t>Inflación mensual:</t>
  </si>
  <si>
    <t>Cantidad de etapas:</t>
  </si>
  <si>
    <t>Costo financiero mensual:</t>
  </si>
  <si>
    <t xml:space="preserve">®Miguel Ángel Martín </t>
  </si>
  <si>
    <t>Concepto</t>
  </si>
  <si>
    <t>Valor</t>
  </si>
  <si>
    <t>Proveedor original</t>
  </si>
  <si>
    <t>Conceptos</t>
  </si>
  <si>
    <t>Valor agregado en primera etapa:</t>
  </si>
  <si>
    <t>Valor agregado por proveedor</t>
  </si>
  <si>
    <t>Agregados adicionales:</t>
  </si>
  <si>
    <t>Pesos</t>
  </si>
  <si>
    <t>Módulos</t>
  </si>
  <si>
    <t>Valor módulo</t>
  </si>
  <si>
    <t>1) Administración impuestos</t>
  </si>
  <si>
    <t>Costo de administrar los impuestos:</t>
  </si>
  <si>
    <t>Alícuota de IIB:</t>
  </si>
  <si>
    <t>Imuesto a los débitos y créditos bancarios:</t>
  </si>
  <si>
    <t>2) Impuesto Valor Aregado etapa</t>
  </si>
  <si>
    <t>2) Costo finaciero impuestos</t>
  </si>
  <si>
    <t>3) Exceso IIB por IVA</t>
  </si>
  <si>
    <t>4) Exceso IDCB</t>
  </si>
  <si>
    <t>Valor agregado con impuestos y financiación</t>
  </si>
  <si>
    <t>Exceso etapa:</t>
  </si>
  <si>
    <t>Segundo proveedor</t>
  </si>
  <si>
    <t>Valor de origen</t>
  </si>
  <si>
    <t>Valor agregado en etapa</t>
  </si>
  <si>
    <t>Tercer proveedor</t>
  </si>
  <si>
    <t>Cuarto proveedor</t>
  </si>
  <si>
    <t>Poder adqisitivo desvalorizado</t>
  </si>
  <si>
    <t xml:space="preserve">Costo total emanado del IVA </t>
  </si>
  <si>
    <t>Datos Generales</t>
  </si>
  <si>
    <t>Valor agregado de poder adquisitico constante</t>
  </si>
  <si>
    <t>Valor IVA por inflación</t>
  </si>
  <si>
    <t>Valor IVA a moneda constante</t>
  </si>
  <si>
    <t>Costo administración impuestos</t>
  </si>
  <si>
    <t>IVA sobre administración</t>
  </si>
  <si>
    <t>IIB y IDCB</t>
  </si>
  <si>
    <t>Iva sobre impuestos</t>
  </si>
  <si>
    <t>Total IVA y costos derivados:</t>
  </si>
  <si>
    <t>Costos excedentes:</t>
  </si>
  <si>
    <t>Último proveedor</t>
  </si>
  <si>
    <t>Alícuota Costo del IVA en Consumidor Final</t>
  </si>
  <si>
    <t>Agregado</t>
  </si>
  <si>
    <t>Cantidad de días por etapa:</t>
  </si>
  <si>
    <t>Etapa</t>
  </si>
  <si>
    <t>Final</t>
  </si>
  <si>
    <t>Acumulación de costos y gravámenes por anticipación del IVA</t>
  </si>
  <si>
    <t>Valor agregado en cada etapa subsiguiente:</t>
  </si>
  <si>
    <t>Total etapas:</t>
  </si>
  <si>
    <t>Total:</t>
  </si>
  <si>
    <t>Importes</t>
  </si>
  <si>
    <t>Anticipado</t>
  </si>
  <si>
    <t>Al final</t>
  </si>
  <si>
    <t>Sobrecargo:</t>
  </si>
  <si>
    <t>Valor en etapas</t>
  </si>
  <si>
    <t>Valor por el IVA anticipado, en cada etapa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</si>
</sst>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\ #,##0.00"/>
    <numFmt numFmtId="165" formatCode="&quot;$&quot;\ #,##0.00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8"/>
      <color indexed="81"/>
      <name val="Tahoma"/>
      <family val="2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10" fontId="0" fillId="0" borderId="0" xfId="0" applyNumberFormat="1"/>
    <xf numFmtId="0" fontId="4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4" fontId="0" fillId="0" borderId="0" xfId="0" applyNumberFormat="1"/>
    <xf numFmtId="4" fontId="0" fillId="0" borderId="0" xfId="0" applyNumberFormat="1"/>
    <xf numFmtId="0" fontId="5" fillId="0" borderId="0" xfId="0" applyFont="1"/>
    <xf numFmtId="0" fontId="6" fillId="0" borderId="0" xfId="0" applyFont="1"/>
    <xf numFmtId="165" fontId="0" fillId="0" borderId="0" xfId="0" applyNumberFormat="1"/>
    <xf numFmtId="0" fontId="0" fillId="0" borderId="0" xfId="0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4" fontId="1" fillId="0" borderId="0" xfId="0" applyNumberFormat="1" applyFont="1"/>
    <xf numFmtId="0" fontId="1" fillId="0" borderId="0" xfId="0" applyFont="1" applyAlignment="1">
      <alignment horizontal="right"/>
    </xf>
    <xf numFmtId="1" fontId="0" fillId="0" borderId="0" xfId="0" applyNumberFormat="1"/>
    <xf numFmtId="0" fontId="1" fillId="0" borderId="0" xfId="0" applyFont="1" applyFill="1" applyBorder="1"/>
    <xf numFmtId="0" fontId="1" fillId="0" borderId="0" xfId="0" applyFont="1" applyFill="1" applyBorder="1" applyAlignment="1">
      <alignment horizontal="right"/>
    </xf>
    <xf numFmtId="0" fontId="4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106681</xdr:colOff>
      <xdr:row>0</xdr:row>
      <xdr:rowOff>91440</xdr:rowOff>
    </xdr:from>
    <xdr:to>
      <xdr:col>2</xdr:col>
      <xdr:colOff>678180</xdr:colOff>
      <xdr:row>2</xdr:row>
      <xdr:rowOff>90174</xdr:rowOff>
    </xdr:to>
    <xdr:grpSp>
      <xdr:nvGrpSpPr>
        <xdr:cNvPr id="2" name="Group 18"/>
        <xdr:cNvGrpSpPr>
          <a:grpSpLocks/>
        </xdr:cNvGrpSpPr>
      </xdr:nvGrpSpPr>
      <xdr:grpSpPr bwMode="auto">
        <a:xfrm>
          <a:off x="3383281" y="91440"/>
          <a:ext cx="561974" cy="427359"/>
          <a:chOff x="1156" y="2069"/>
          <a:chExt cx="1815" cy="1516"/>
        </a:xfrm>
      </xdr:grpSpPr>
      <xdr:grpSp>
        <xdr:nvGrpSpPr>
          <xdr:cNvPr id="4" name="Group 12"/>
          <xdr:cNvGrpSpPr>
            <a:grpSpLocks/>
          </xdr:cNvGrpSpPr>
        </xdr:nvGrpSpPr>
        <xdr:grpSpPr bwMode="auto">
          <a:xfrm rot="-2418007">
            <a:off x="1972" y="2432"/>
            <a:ext cx="862" cy="317"/>
            <a:chOff x="2744" y="2341"/>
            <a:chExt cx="1814" cy="635"/>
          </a:xfrm>
        </xdr:grpSpPr>
        <xdr:sp macro="" textlink="">
          <xdr:nvSpPr>
            <xdr:cNvPr id="9" name="AutoShape 4"/>
            <xdr:cNvSpPr>
              <a:spLocks noChangeArrowheads="1"/>
            </xdr:cNvSpPr>
          </xdr:nvSpPr>
          <xdr:spPr bwMode="auto">
            <a:xfrm rot="-5400000">
              <a:off x="3492" y="1774"/>
              <a:ext cx="499" cy="1633"/>
            </a:xfrm>
            <a:prstGeom prst="triangle">
              <a:avLst>
                <a:gd name="adj" fmla="val 50000"/>
              </a:avLst>
            </a:pr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10" name="Rectangle 5"/>
            <xdr:cNvSpPr>
              <a:spLocks noChangeArrowheads="1"/>
            </xdr:cNvSpPr>
          </xdr:nvSpPr>
          <xdr:spPr bwMode="auto">
            <a:xfrm>
              <a:off x="2926" y="2523"/>
              <a:ext cx="498" cy="136"/>
            </a:xfrm>
            <a:prstGeom prst="rect">
              <a:avLst/>
            </a:pr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11" name="AutoShape 7"/>
            <xdr:cNvSpPr>
              <a:spLocks noChangeArrowheads="1"/>
            </xdr:cNvSpPr>
          </xdr:nvSpPr>
          <xdr:spPr bwMode="auto">
            <a:xfrm rot="16200000">
              <a:off x="2698" y="2496"/>
              <a:ext cx="273" cy="181"/>
            </a:xfrm>
            <a:custGeom>
              <a:avLst/>
              <a:gdLst>
                <a:gd name="G0" fmla="+- 5400 0 0"/>
                <a:gd name="G1" fmla="+- 21600 0 5400"/>
                <a:gd name="G2" fmla="*/ 5400 1 2"/>
                <a:gd name="G3" fmla="+- 21600 0 G2"/>
                <a:gd name="G4" fmla="+/ 5400 21600 2"/>
                <a:gd name="G5" fmla="+/ G1 0 2"/>
                <a:gd name="G6" fmla="*/ 21600 21600 5400"/>
                <a:gd name="G7" fmla="*/ G6 1 2"/>
                <a:gd name="G8" fmla="+- 21600 0 G7"/>
                <a:gd name="G9" fmla="*/ 21600 1 2"/>
                <a:gd name="G10" fmla="+- 5400 0 G9"/>
                <a:gd name="G11" fmla="?: G10 G8 0"/>
                <a:gd name="G12" fmla="?: G10 G7 21600"/>
                <a:gd name="T0" fmla="*/ 18900 w 21600"/>
                <a:gd name="T1" fmla="*/ 10800 h 21600"/>
                <a:gd name="T2" fmla="*/ 10800 w 21600"/>
                <a:gd name="T3" fmla="*/ 21600 h 21600"/>
                <a:gd name="T4" fmla="*/ 2700 w 21600"/>
                <a:gd name="T5" fmla="*/ 10800 h 21600"/>
                <a:gd name="T6" fmla="*/ 10800 w 21600"/>
                <a:gd name="T7" fmla="*/ 0 h 21600"/>
                <a:gd name="T8" fmla="*/ 4500 w 21600"/>
                <a:gd name="T9" fmla="*/ 4500 h 21600"/>
                <a:gd name="T10" fmla="*/ 17100 w 21600"/>
                <a:gd name="T11" fmla="*/ 17100 h 216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</a:cxnLst>
              <a:rect l="T8" t="T9" r="T10" b="T11"/>
              <a:pathLst>
                <a:path w="21600" h="21600">
                  <a:moveTo>
                    <a:pt x="0" y="0"/>
                  </a:moveTo>
                  <a:lnTo>
                    <a:pt x="5400" y="21600"/>
                  </a:lnTo>
                  <a:lnTo>
                    <a:pt x="16200" y="21600"/>
                  </a:lnTo>
                  <a:lnTo>
                    <a:pt x="21600" y="0"/>
                  </a:lnTo>
                  <a:close/>
                </a:path>
              </a:pathLst>
            </a:cu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12" name="AutoShape 8"/>
            <xdr:cNvSpPr>
              <a:spLocks noChangeArrowheads="1"/>
            </xdr:cNvSpPr>
          </xdr:nvSpPr>
          <xdr:spPr bwMode="auto">
            <a:xfrm rot="250207">
              <a:off x="2971" y="2613"/>
              <a:ext cx="1315" cy="363"/>
            </a:xfrm>
            <a:custGeom>
              <a:avLst/>
              <a:gdLst>
                <a:gd name="G0" fmla="+- 5400 0 0"/>
                <a:gd name="G1" fmla="+- 21600 0 5400"/>
                <a:gd name="G2" fmla="+- 21600 0 5400"/>
                <a:gd name="G3" fmla="*/ G0 2929 10000"/>
                <a:gd name="G4" fmla="+- 21600 0 G3"/>
                <a:gd name="G5" fmla="+- 21600 0 G3"/>
                <a:gd name="T0" fmla="*/ 10800 w 21600"/>
                <a:gd name="T1" fmla="*/ 0 h 21600"/>
                <a:gd name="T2" fmla="*/ 3163 w 21600"/>
                <a:gd name="T3" fmla="*/ 3163 h 21600"/>
                <a:gd name="T4" fmla="*/ 0 w 21600"/>
                <a:gd name="T5" fmla="*/ 10800 h 21600"/>
                <a:gd name="T6" fmla="*/ 3163 w 21600"/>
                <a:gd name="T7" fmla="*/ 18437 h 21600"/>
                <a:gd name="T8" fmla="*/ 10800 w 21600"/>
                <a:gd name="T9" fmla="*/ 21600 h 21600"/>
                <a:gd name="T10" fmla="*/ 18437 w 21600"/>
                <a:gd name="T11" fmla="*/ 18437 h 21600"/>
                <a:gd name="T12" fmla="*/ 21600 w 21600"/>
                <a:gd name="T13" fmla="*/ 10800 h 21600"/>
                <a:gd name="T14" fmla="*/ 18437 w 21600"/>
                <a:gd name="T15" fmla="*/ 3163 h 21600"/>
                <a:gd name="T16" fmla="*/ 3163 w 21600"/>
                <a:gd name="T17" fmla="*/ 3163 h 21600"/>
                <a:gd name="T18" fmla="*/ 18437 w 21600"/>
                <a:gd name="T19" fmla="*/ 18437 h 216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</a:cxnLst>
              <a:rect l="T16" t="T17" r="T18" b="T19"/>
              <a:pathLst>
                <a:path w="21600" h="21600">
                  <a:moveTo>
                    <a:pt x="0" y="10800"/>
                  </a:moveTo>
                  <a:cubicBezTo>
                    <a:pt x="0" y="4835"/>
                    <a:pt x="4835" y="0"/>
                    <a:pt x="10800" y="0"/>
                  </a:cubicBezTo>
                  <a:cubicBezTo>
                    <a:pt x="16765" y="0"/>
                    <a:pt x="21600" y="4835"/>
                    <a:pt x="21600" y="10800"/>
                  </a:cubicBezTo>
                  <a:cubicBezTo>
                    <a:pt x="21600" y="16765"/>
                    <a:pt x="16765" y="21600"/>
                    <a:pt x="10800" y="21600"/>
                  </a:cubicBezTo>
                  <a:cubicBezTo>
                    <a:pt x="4835" y="21600"/>
                    <a:pt x="0" y="16765"/>
                    <a:pt x="0" y="10800"/>
                  </a:cubicBezTo>
                  <a:close/>
                  <a:moveTo>
                    <a:pt x="5400" y="10800"/>
                  </a:moveTo>
                  <a:cubicBezTo>
                    <a:pt x="5400" y="13782"/>
                    <a:pt x="7818" y="16200"/>
                    <a:pt x="10800" y="16200"/>
                  </a:cubicBezTo>
                  <a:cubicBezTo>
                    <a:pt x="13782" y="16200"/>
                    <a:pt x="16200" y="13782"/>
                    <a:pt x="16200" y="10800"/>
                  </a:cubicBezTo>
                  <a:cubicBezTo>
                    <a:pt x="16200" y="7818"/>
                    <a:pt x="13782" y="5400"/>
                    <a:pt x="10800" y="5400"/>
                  </a:cubicBezTo>
                  <a:cubicBezTo>
                    <a:pt x="7818" y="5400"/>
                    <a:pt x="5400" y="7818"/>
                    <a:pt x="5400" y="10800"/>
                  </a:cubicBezTo>
                  <a:close/>
                </a:path>
              </a:pathLst>
            </a:custGeom>
            <a:solidFill>
              <a:schemeClr val="tx1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</xdr:grpSp>
      <xdr:pic>
        <xdr:nvPicPr>
          <xdr:cNvPr id="5" name="Picture 11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/>
          <a:srcRect/>
          <a:stretch>
            <a:fillRect/>
          </a:stretch>
        </xdr:blipFill>
        <xdr:spPr bwMode="auto">
          <a:xfrm>
            <a:off x="1156" y="2931"/>
            <a:ext cx="1284" cy="654"/>
          </a:xfrm>
          <a:prstGeom prst="rect">
            <a:avLst/>
          </a:prstGeom>
          <a:noFill/>
        </xdr:spPr>
      </xdr:pic>
      <xdr:sp macro="" textlink="">
        <xdr:nvSpPr>
          <xdr:cNvPr id="6" name="Line 14"/>
          <xdr:cNvSpPr>
            <a:spLocks noChangeShapeType="1"/>
          </xdr:cNvSpPr>
        </xdr:nvSpPr>
        <xdr:spPr bwMode="auto">
          <a:xfrm flipV="1">
            <a:off x="2699" y="2069"/>
            <a:ext cx="45" cy="136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  <xdr:sp macro="" textlink="">
        <xdr:nvSpPr>
          <xdr:cNvPr id="7" name="Line 15"/>
          <xdr:cNvSpPr>
            <a:spLocks noChangeShapeType="1"/>
          </xdr:cNvSpPr>
        </xdr:nvSpPr>
        <xdr:spPr bwMode="auto">
          <a:xfrm flipV="1">
            <a:off x="2744" y="2115"/>
            <a:ext cx="136" cy="136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  <xdr:sp macro="" textlink="">
        <xdr:nvSpPr>
          <xdr:cNvPr id="8" name="Line 17"/>
          <xdr:cNvSpPr>
            <a:spLocks noChangeShapeType="1"/>
          </xdr:cNvSpPr>
        </xdr:nvSpPr>
        <xdr:spPr bwMode="auto">
          <a:xfrm flipV="1">
            <a:off x="2789" y="2251"/>
            <a:ext cx="182" cy="45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</xdr:grpSp>
    <xdr:clientData/>
  </xdr:twoCellAnchor>
  <xdr:twoCellAnchor>
    <xdr:from>
      <xdr:col>3</xdr:col>
      <xdr:colOff>74612</xdr:colOff>
      <xdr:row>0</xdr:row>
      <xdr:rowOff>23190</xdr:rowOff>
    </xdr:from>
    <xdr:to>
      <xdr:col>4</xdr:col>
      <xdr:colOff>678180</xdr:colOff>
      <xdr:row>2</xdr:row>
      <xdr:rowOff>106680</xdr:rowOff>
    </xdr:to>
    <xdr:sp macro="" textlink="">
      <xdr:nvSpPr>
        <xdr:cNvPr id="3" name="Text Box 19"/>
        <xdr:cNvSpPr txBox="1">
          <a:spLocks noChangeArrowheads="1"/>
        </xdr:cNvSpPr>
      </xdr:nvSpPr>
      <xdr:spPr bwMode="auto">
        <a:xfrm>
          <a:off x="4136072" y="23190"/>
          <a:ext cx="1396048" cy="49497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wrap="square">
          <a:noAutofit/>
        </a:bodyPr>
        <a:lstStyle>
          <a:defPPr>
            <a:defRPr lang="es-ES_tradnl"/>
          </a:defPPr>
          <a:lvl1pPr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5pPr>
          <a:lvl6pPr marL="22860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6pPr>
          <a:lvl7pPr marL="27432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7pPr>
          <a:lvl8pPr marL="32004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8pPr>
          <a:lvl9pPr marL="36576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9pPr>
        </a:lstStyle>
        <a:p>
          <a:r>
            <a:rPr lang="es-ES_tradnl" sz="1000" b="1">
              <a:latin typeface="Comic Sans MS" pitchFamily="66" charset="0"/>
            </a:rPr>
            <a:t>Consumidores Alerta</a:t>
          </a:r>
        </a:p>
        <a:p>
          <a:r>
            <a:rPr lang="es-ES_tradnl" sz="1000" b="1">
              <a:latin typeface="Comic Sans MS" pitchFamily="66" charset="0"/>
            </a:rPr>
            <a:t>CONSAL</a:t>
          </a:r>
        </a:p>
      </xdr:txBody>
    </xdr:sp>
    <xdr:clientData/>
  </xdr:twoCellAnchor>
  <xdr:twoCellAnchor>
    <xdr:from>
      <xdr:col>6</xdr:col>
      <xdr:colOff>1973580</xdr:colOff>
      <xdr:row>0</xdr:row>
      <xdr:rowOff>190500</xdr:rowOff>
    </xdr:from>
    <xdr:to>
      <xdr:col>8</xdr:col>
      <xdr:colOff>160020</xdr:colOff>
      <xdr:row>3</xdr:row>
      <xdr:rowOff>75870</xdr:rowOff>
    </xdr:to>
    <xdr:sp macro="" textlink="">
      <xdr:nvSpPr>
        <xdr:cNvPr id="13" name="Text Box 19"/>
        <xdr:cNvSpPr txBox="1">
          <a:spLocks noChangeArrowheads="1"/>
        </xdr:cNvSpPr>
      </xdr:nvSpPr>
      <xdr:spPr bwMode="auto">
        <a:xfrm>
          <a:off x="8412480" y="190500"/>
          <a:ext cx="1562100" cy="49497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wrap="square">
          <a:noAutofit/>
        </a:bodyPr>
        <a:lstStyle>
          <a:defPPr>
            <a:defRPr lang="es-ES_tradnl"/>
          </a:defPPr>
          <a:lvl1pPr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5pPr>
          <a:lvl6pPr marL="22860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6pPr>
          <a:lvl7pPr marL="27432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7pPr>
          <a:lvl8pPr marL="32004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8pPr>
          <a:lvl9pPr marL="36576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9pPr>
        </a:lstStyle>
        <a:p>
          <a:r>
            <a:rPr lang="es-ES_tradnl" sz="1000" b="1">
              <a:latin typeface="Comic Sans MS" pitchFamily="66" charset="0"/>
            </a:rPr>
            <a:t>Consumidores Alerta</a:t>
          </a:r>
        </a:p>
        <a:p>
          <a:r>
            <a:rPr lang="es-ES_tradnl" sz="1000" b="1">
              <a:latin typeface="Comic Sans MS" pitchFamily="66" charset="0"/>
            </a:rPr>
            <a:t>CONSAL</a:t>
          </a:r>
        </a:p>
      </xdr:txBody>
    </xdr:sp>
    <xdr:clientData/>
  </xdr:twoCellAnchor>
  <xdr:twoCellAnchor>
    <xdr:from>
      <xdr:col>6</xdr:col>
      <xdr:colOff>1295400</xdr:colOff>
      <xdr:row>1</xdr:row>
      <xdr:rowOff>91440</xdr:rowOff>
    </xdr:from>
    <xdr:to>
      <xdr:col>6</xdr:col>
      <xdr:colOff>1866899</xdr:colOff>
      <xdr:row>3</xdr:row>
      <xdr:rowOff>120654</xdr:rowOff>
    </xdr:to>
    <xdr:grpSp>
      <xdr:nvGrpSpPr>
        <xdr:cNvPr id="14" name="Group 18"/>
        <xdr:cNvGrpSpPr>
          <a:grpSpLocks/>
        </xdr:cNvGrpSpPr>
      </xdr:nvGrpSpPr>
      <xdr:grpSpPr bwMode="auto">
        <a:xfrm>
          <a:off x="7534275" y="329565"/>
          <a:ext cx="571499" cy="419739"/>
          <a:chOff x="1156" y="2069"/>
          <a:chExt cx="1815" cy="1516"/>
        </a:xfrm>
      </xdr:grpSpPr>
      <xdr:grpSp>
        <xdr:nvGrpSpPr>
          <xdr:cNvPr id="15" name="Group 12"/>
          <xdr:cNvGrpSpPr>
            <a:grpSpLocks/>
          </xdr:cNvGrpSpPr>
        </xdr:nvGrpSpPr>
        <xdr:grpSpPr bwMode="auto">
          <a:xfrm rot="-2418007">
            <a:off x="1972" y="2432"/>
            <a:ext cx="862" cy="317"/>
            <a:chOff x="2744" y="2341"/>
            <a:chExt cx="1814" cy="635"/>
          </a:xfrm>
        </xdr:grpSpPr>
        <xdr:sp macro="" textlink="">
          <xdr:nvSpPr>
            <xdr:cNvPr id="20" name="AutoShape 4"/>
            <xdr:cNvSpPr>
              <a:spLocks noChangeArrowheads="1"/>
            </xdr:cNvSpPr>
          </xdr:nvSpPr>
          <xdr:spPr bwMode="auto">
            <a:xfrm rot="-5400000">
              <a:off x="3492" y="1774"/>
              <a:ext cx="499" cy="1633"/>
            </a:xfrm>
            <a:prstGeom prst="triangle">
              <a:avLst>
                <a:gd name="adj" fmla="val 50000"/>
              </a:avLst>
            </a:pr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21" name="Rectangle 5"/>
            <xdr:cNvSpPr>
              <a:spLocks noChangeArrowheads="1"/>
            </xdr:cNvSpPr>
          </xdr:nvSpPr>
          <xdr:spPr bwMode="auto">
            <a:xfrm>
              <a:off x="2926" y="2523"/>
              <a:ext cx="498" cy="136"/>
            </a:xfrm>
            <a:prstGeom prst="rect">
              <a:avLst/>
            </a:pr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22" name="AutoShape 7"/>
            <xdr:cNvSpPr>
              <a:spLocks noChangeArrowheads="1"/>
            </xdr:cNvSpPr>
          </xdr:nvSpPr>
          <xdr:spPr bwMode="auto">
            <a:xfrm rot="16200000">
              <a:off x="2698" y="2496"/>
              <a:ext cx="273" cy="181"/>
            </a:xfrm>
            <a:custGeom>
              <a:avLst/>
              <a:gdLst>
                <a:gd name="G0" fmla="+- 5400 0 0"/>
                <a:gd name="G1" fmla="+- 21600 0 5400"/>
                <a:gd name="G2" fmla="*/ 5400 1 2"/>
                <a:gd name="G3" fmla="+- 21600 0 G2"/>
                <a:gd name="G4" fmla="+/ 5400 21600 2"/>
                <a:gd name="G5" fmla="+/ G1 0 2"/>
                <a:gd name="G6" fmla="*/ 21600 21600 5400"/>
                <a:gd name="G7" fmla="*/ G6 1 2"/>
                <a:gd name="G8" fmla="+- 21600 0 G7"/>
                <a:gd name="G9" fmla="*/ 21600 1 2"/>
                <a:gd name="G10" fmla="+- 5400 0 G9"/>
                <a:gd name="G11" fmla="?: G10 G8 0"/>
                <a:gd name="G12" fmla="?: G10 G7 21600"/>
                <a:gd name="T0" fmla="*/ 18900 w 21600"/>
                <a:gd name="T1" fmla="*/ 10800 h 21600"/>
                <a:gd name="T2" fmla="*/ 10800 w 21600"/>
                <a:gd name="T3" fmla="*/ 21600 h 21600"/>
                <a:gd name="T4" fmla="*/ 2700 w 21600"/>
                <a:gd name="T5" fmla="*/ 10800 h 21600"/>
                <a:gd name="T6" fmla="*/ 10800 w 21600"/>
                <a:gd name="T7" fmla="*/ 0 h 21600"/>
                <a:gd name="T8" fmla="*/ 4500 w 21600"/>
                <a:gd name="T9" fmla="*/ 4500 h 21600"/>
                <a:gd name="T10" fmla="*/ 17100 w 21600"/>
                <a:gd name="T11" fmla="*/ 17100 h 216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</a:cxnLst>
              <a:rect l="T8" t="T9" r="T10" b="T11"/>
              <a:pathLst>
                <a:path w="21600" h="21600">
                  <a:moveTo>
                    <a:pt x="0" y="0"/>
                  </a:moveTo>
                  <a:lnTo>
                    <a:pt x="5400" y="21600"/>
                  </a:lnTo>
                  <a:lnTo>
                    <a:pt x="16200" y="21600"/>
                  </a:lnTo>
                  <a:lnTo>
                    <a:pt x="21600" y="0"/>
                  </a:lnTo>
                  <a:close/>
                </a:path>
              </a:pathLst>
            </a:cu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23" name="AutoShape 8"/>
            <xdr:cNvSpPr>
              <a:spLocks noChangeArrowheads="1"/>
            </xdr:cNvSpPr>
          </xdr:nvSpPr>
          <xdr:spPr bwMode="auto">
            <a:xfrm rot="250207">
              <a:off x="2971" y="2613"/>
              <a:ext cx="1315" cy="363"/>
            </a:xfrm>
            <a:custGeom>
              <a:avLst/>
              <a:gdLst>
                <a:gd name="G0" fmla="+- 5400 0 0"/>
                <a:gd name="G1" fmla="+- 21600 0 5400"/>
                <a:gd name="G2" fmla="+- 21600 0 5400"/>
                <a:gd name="G3" fmla="*/ G0 2929 10000"/>
                <a:gd name="G4" fmla="+- 21600 0 G3"/>
                <a:gd name="G5" fmla="+- 21600 0 G3"/>
                <a:gd name="T0" fmla="*/ 10800 w 21600"/>
                <a:gd name="T1" fmla="*/ 0 h 21600"/>
                <a:gd name="T2" fmla="*/ 3163 w 21600"/>
                <a:gd name="T3" fmla="*/ 3163 h 21600"/>
                <a:gd name="T4" fmla="*/ 0 w 21600"/>
                <a:gd name="T5" fmla="*/ 10800 h 21600"/>
                <a:gd name="T6" fmla="*/ 3163 w 21600"/>
                <a:gd name="T7" fmla="*/ 18437 h 21600"/>
                <a:gd name="T8" fmla="*/ 10800 w 21600"/>
                <a:gd name="T9" fmla="*/ 21600 h 21600"/>
                <a:gd name="T10" fmla="*/ 18437 w 21600"/>
                <a:gd name="T11" fmla="*/ 18437 h 21600"/>
                <a:gd name="T12" fmla="*/ 21600 w 21600"/>
                <a:gd name="T13" fmla="*/ 10800 h 21600"/>
                <a:gd name="T14" fmla="*/ 18437 w 21600"/>
                <a:gd name="T15" fmla="*/ 3163 h 21600"/>
                <a:gd name="T16" fmla="*/ 3163 w 21600"/>
                <a:gd name="T17" fmla="*/ 3163 h 21600"/>
                <a:gd name="T18" fmla="*/ 18437 w 21600"/>
                <a:gd name="T19" fmla="*/ 18437 h 216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</a:cxnLst>
              <a:rect l="T16" t="T17" r="T18" b="T19"/>
              <a:pathLst>
                <a:path w="21600" h="21600">
                  <a:moveTo>
                    <a:pt x="0" y="10800"/>
                  </a:moveTo>
                  <a:cubicBezTo>
                    <a:pt x="0" y="4835"/>
                    <a:pt x="4835" y="0"/>
                    <a:pt x="10800" y="0"/>
                  </a:cubicBezTo>
                  <a:cubicBezTo>
                    <a:pt x="16765" y="0"/>
                    <a:pt x="21600" y="4835"/>
                    <a:pt x="21600" y="10800"/>
                  </a:cubicBezTo>
                  <a:cubicBezTo>
                    <a:pt x="21600" y="16765"/>
                    <a:pt x="16765" y="21600"/>
                    <a:pt x="10800" y="21600"/>
                  </a:cubicBezTo>
                  <a:cubicBezTo>
                    <a:pt x="4835" y="21600"/>
                    <a:pt x="0" y="16765"/>
                    <a:pt x="0" y="10800"/>
                  </a:cubicBezTo>
                  <a:close/>
                  <a:moveTo>
                    <a:pt x="5400" y="10800"/>
                  </a:moveTo>
                  <a:cubicBezTo>
                    <a:pt x="5400" y="13782"/>
                    <a:pt x="7818" y="16200"/>
                    <a:pt x="10800" y="16200"/>
                  </a:cubicBezTo>
                  <a:cubicBezTo>
                    <a:pt x="13782" y="16200"/>
                    <a:pt x="16200" y="13782"/>
                    <a:pt x="16200" y="10800"/>
                  </a:cubicBezTo>
                  <a:cubicBezTo>
                    <a:pt x="16200" y="7818"/>
                    <a:pt x="13782" y="5400"/>
                    <a:pt x="10800" y="5400"/>
                  </a:cubicBezTo>
                  <a:cubicBezTo>
                    <a:pt x="7818" y="5400"/>
                    <a:pt x="5400" y="7818"/>
                    <a:pt x="5400" y="10800"/>
                  </a:cubicBezTo>
                  <a:close/>
                </a:path>
              </a:pathLst>
            </a:custGeom>
            <a:solidFill>
              <a:schemeClr val="tx1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</xdr:grpSp>
      <xdr:pic>
        <xdr:nvPicPr>
          <xdr:cNvPr id="16" name="Picture 11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/>
          <a:srcRect/>
          <a:stretch>
            <a:fillRect/>
          </a:stretch>
        </xdr:blipFill>
        <xdr:spPr bwMode="auto">
          <a:xfrm>
            <a:off x="1156" y="2931"/>
            <a:ext cx="1284" cy="654"/>
          </a:xfrm>
          <a:prstGeom prst="rect">
            <a:avLst/>
          </a:prstGeom>
          <a:noFill/>
        </xdr:spPr>
      </xdr:pic>
      <xdr:sp macro="" textlink="">
        <xdr:nvSpPr>
          <xdr:cNvPr id="17" name="Line 14"/>
          <xdr:cNvSpPr>
            <a:spLocks noChangeShapeType="1"/>
          </xdr:cNvSpPr>
        </xdr:nvSpPr>
        <xdr:spPr bwMode="auto">
          <a:xfrm flipV="1">
            <a:off x="2699" y="2069"/>
            <a:ext cx="45" cy="136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  <xdr:sp macro="" textlink="">
        <xdr:nvSpPr>
          <xdr:cNvPr id="18" name="Line 15"/>
          <xdr:cNvSpPr>
            <a:spLocks noChangeShapeType="1"/>
          </xdr:cNvSpPr>
        </xdr:nvSpPr>
        <xdr:spPr bwMode="auto">
          <a:xfrm flipV="1">
            <a:off x="2744" y="2115"/>
            <a:ext cx="136" cy="136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  <xdr:sp macro="" textlink="">
        <xdr:nvSpPr>
          <xdr:cNvPr id="19" name="Line 17"/>
          <xdr:cNvSpPr>
            <a:spLocks noChangeShapeType="1"/>
          </xdr:cNvSpPr>
        </xdr:nvSpPr>
        <xdr:spPr bwMode="auto">
          <a:xfrm flipV="1">
            <a:off x="2789" y="2251"/>
            <a:ext cx="182" cy="45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95"/>
  <sheetViews>
    <sheetView tabSelected="1" zoomScaleNormal="100" workbookViewId="0">
      <selection activeCell="H7" sqref="H7"/>
    </sheetView>
  </sheetViews>
  <sheetFormatPr baseColWidth="10" defaultRowHeight="15" x14ac:dyDescent="0.25"/>
  <cols>
    <col min="1" max="1" width="38.7109375" style="1" customWidth="1"/>
    <col min="2" max="2" width="10.42578125" customWidth="1"/>
    <col min="3" max="3" width="10" customWidth="1"/>
    <col min="6" max="6" width="11.5703125" customWidth="1"/>
    <col min="7" max="7" width="37.7109375" customWidth="1"/>
  </cols>
  <sheetData>
    <row r="1" spans="1:11" ht="18.75" x14ac:dyDescent="0.3">
      <c r="A1" s="2" t="s">
        <v>43</v>
      </c>
      <c r="G1" s="2" t="s">
        <v>48</v>
      </c>
    </row>
    <row r="2" spans="1:11" x14ac:dyDescent="0.25">
      <c r="A2" s="9" t="s">
        <v>4</v>
      </c>
      <c r="G2" s="9" t="s">
        <v>4</v>
      </c>
    </row>
    <row r="3" spans="1:11" ht="15.75" x14ac:dyDescent="0.25">
      <c r="A3" s="8" t="s">
        <v>32</v>
      </c>
    </row>
    <row r="4" spans="1:11" ht="15.75" x14ac:dyDescent="0.25">
      <c r="A4" s="12" t="s">
        <v>5</v>
      </c>
      <c r="B4" s="5" t="s">
        <v>6</v>
      </c>
      <c r="C4" s="22" t="s">
        <v>46</v>
      </c>
      <c r="D4" s="20" t="s">
        <v>56</v>
      </c>
      <c r="E4" s="21"/>
      <c r="G4" s="8" t="s">
        <v>32</v>
      </c>
    </row>
    <row r="5" spans="1:11" x14ac:dyDescent="0.25">
      <c r="A5" s="1" t="s">
        <v>0</v>
      </c>
      <c r="B5" s="3">
        <v>0.21</v>
      </c>
      <c r="C5" s="22"/>
      <c r="D5" s="13" t="s">
        <v>47</v>
      </c>
      <c r="E5" s="4" t="s">
        <v>44</v>
      </c>
      <c r="G5" s="12" t="s">
        <v>5</v>
      </c>
      <c r="H5" s="5" t="s">
        <v>6</v>
      </c>
      <c r="I5" s="22" t="s">
        <v>46</v>
      </c>
      <c r="J5" s="20" t="s">
        <v>56</v>
      </c>
      <c r="K5" s="21"/>
    </row>
    <row r="6" spans="1:11" x14ac:dyDescent="0.25">
      <c r="A6" s="1" t="s">
        <v>17</v>
      </c>
      <c r="B6" s="3">
        <v>2.75E-2</v>
      </c>
      <c r="C6" s="11" t="str">
        <f>IF($B$9=5,"Inicial","")</f>
        <v>Inicial</v>
      </c>
      <c r="D6" s="10">
        <f>IF(C6="","",D7/(1+B$12))</f>
        <v>26.030820491461892</v>
      </c>
      <c r="E6" s="10">
        <f>D6</f>
        <v>26.030820491461892</v>
      </c>
      <c r="G6" s="1" t="s">
        <v>0</v>
      </c>
      <c r="H6" s="3">
        <f t="shared" ref="H6:H15" si="0">B5</f>
        <v>0.21</v>
      </c>
      <c r="I6" s="22"/>
      <c r="J6" s="13" t="s">
        <v>47</v>
      </c>
      <c r="K6" s="13" t="s">
        <v>44</v>
      </c>
    </row>
    <row r="7" spans="1:11" x14ac:dyDescent="0.25">
      <c r="A7" s="1" t="s">
        <v>18</v>
      </c>
      <c r="B7" s="3">
        <v>1.2E-2</v>
      </c>
      <c r="C7" s="11" t="str">
        <f>IF($B$9=4,"Inicial",IF($B$9&lt;4,"","Segunda"))</f>
        <v>Segunda</v>
      </c>
      <c r="D7" s="10">
        <f t="shared" ref="D7:D9" si="1">IF(C7="","",D8/(1+B$12))</f>
        <v>36.443148688046648</v>
      </c>
      <c r="E7" s="10">
        <f>IF(C7="","",D7-IF(C6="",0,D6))</f>
        <v>10.412328196584756</v>
      </c>
      <c r="G7" s="1" t="s">
        <v>17</v>
      </c>
      <c r="H7" s="3">
        <f t="shared" si="0"/>
        <v>2.75E-2</v>
      </c>
      <c r="I7" s="11" t="str">
        <f>C6</f>
        <v>Inicial</v>
      </c>
      <c r="J7" s="10">
        <f t="shared" ref="J7:K11" si="2">D6</f>
        <v>26.030820491461892</v>
      </c>
      <c r="K7" s="10">
        <f t="shared" si="2"/>
        <v>26.030820491461892</v>
      </c>
    </row>
    <row r="8" spans="1:11" x14ac:dyDescent="0.25">
      <c r="A8" s="1" t="s">
        <v>1</v>
      </c>
      <c r="B8" s="3">
        <v>0.01</v>
      </c>
      <c r="C8" s="11" t="str">
        <f>IF($B$9=3,"Inicial",IF($B$9&lt;3,"",IF($B$9=5,"Tercera","Segunda")))</f>
        <v>Tercera</v>
      </c>
      <c r="D8" s="10">
        <f t="shared" si="1"/>
        <v>51.020408163265309</v>
      </c>
      <c r="E8" s="10">
        <f t="shared" ref="E8:E9" si="3">IF(C8="","",D8-IF(C7="",0,D7))</f>
        <v>14.577259475218661</v>
      </c>
      <c r="G8" s="1" t="s">
        <v>18</v>
      </c>
      <c r="H8" s="3">
        <f t="shared" si="0"/>
        <v>1.2E-2</v>
      </c>
      <c r="I8" s="11" t="str">
        <f t="shared" ref="I8:I11" si="4">C7</f>
        <v>Segunda</v>
      </c>
      <c r="J8" s="10">
        <f t="shared" si="2"/>
        <v>36.443148688046648</v>
      </c>
      <c r="K8" s="10">
        <f t="shared" si="2"/>
        <v>10.412328196584756</v>
      </c>
    </row>
    <row r="9" spans="1:11" x14ac:dyDescent="0.25">
      <c r="A9" s="1" t="s">
        <v>2</v>
      </c>
      <c r="B9">
        <v>5</v>
      </c>
      <c r="C9" s="11" t="str">
        <f>IF($B$9=2,"Inicial",IF($B$9&lt;2,"",IF($B$9=5,"Cuarta",IF($B$9=4,"Tercera","Segunda"))))</f>
        <v>Cuarta</v>
      </c>
      <c r="D9" s="10">
        <f t="shared" si="1"/>
        <v>71.428571428571431</v>
      </c>
      <c r="E9" s="10">
        <f t="shared" si="3"/>
        <v>20.408163265306122</v>
      </c>
      <c r="G9" s="1" t="s">
        <v>1</v>
      </c>
      <c r="H9" s="3">
        <f t="shared" si="0"/>
        <v>0.01</v>
      </c>
      <c r="I9" s="11" t="str">
        <f t="shared" si="4"/>
        <v>Tercera</v>
      </c>
      <c r="J9" s="10">
        <f t="shared" si="2"/>
        <v>51.020408163265309</v>
      </c>
      <c r="K9" s="10">
        <f t="shared" si="2"/>
        <v>14.577259475218661</v>
      </c>
    </row>
    <row r="10" spans="1:11" x14ac:dyDescent="0.25">
      <c r="A10" s="1" t="s">
        <v>45</v>
      </c>
      <c r="B10">
        <v>30</v>
      </c>
      <c r="C10" s="11" t="str">
        <f>IF($B$9&gt;1,"Final","Única")</f>
        <v>Final</v>
      </c>
      <c r="D10" s="10">
        <v>100</v>
      </c>
      <c r="E10" s="10">
        <f>D10-IF(C9="",0,D9)</f>
        <v>28.571428571428569</v>
      </c>
      <c r="G10" s="1" t="s">
        <v>2</v>
      </c>
      <c r="H10" s="16">
        <f t="shared" si="0"/>
        <v>5</v>
      </c>
      <c r="I10" s="11" t="str">
        <f t="shared" si="4"/>
        <v>Cuarta</v>
      </c>
      <c r="J10" s="10">
        <f t="shared" si="2"/>
        <v>71.428571428571431</v>
      </c>
      <c r="K10" s="10">
        <f t="shared" si="2"/>
        <v>20.408163265306122</v>
      </c>
    </row>
    <row r="11" spans="1:11" x14ac:dyDescent="0.25">
      <c r="A11" s="1" t="s">
        <v>9</v>
      </c>
      <c r="B11" s="3">
        <v>1</v>
      </c>
      <c r="D11" s="15" t="s">
        <v>51</v>
      </c>
      <c r="E11" s="10">
        <f>SUM(E6:E10)</f>
        <v>100</v>
      </c>
      <c r="G11" s="1" t="s">
        <v>45</v>
      </c>
      <c r="H11" s="16">
        <f t="shared" si="0"/>
        <v>30</v>
      </c>
      <c r="I11" s="11" t="str">
        <f t="shared" si="4"/>
        <v>Final</v>
      </c>
      <c r="J11" s="10">
        <f t="shared" si="2"/>
        <v>100</v>
      </c>
      <c r="K11" s="10">
        <f t="shared" si="2"/>
        <v>28.571428571428569</v>
      </c>
    </row>
    <row r="12" spans="1:11" x14ac:dyDescent="0.25">
      <c r="A12" s="1" t="s">
        <v>49</v>
      </c>
      <c r="B12" s="3">
        <v>0.4</v>
      </c>
      <c r="C12" t="str">
        <f>IF(B9&gt;5,"Máximo cinco integrantes",IF(B9&lt;1,"Mínimo un integrante",""))</f>
        <v/>
      </c>
      <c r="G12" s="1" t="s">
        <v>9</v>
      </c>
      <c r="H12" s="3">
        <f t="shared" si="0"/>
        <v>1</v>
      </c>
      <c r="J12" s="15" t="s">
        <v>51</v>
      </c>
      <c r="K12" s="10">
        <f>SUM(K7:K11)</f>
        <v>100</v>
      </c>
    </row>
    <row r="13" spans="1:11" x14ac:dyDescent="0.25">
      <c r="A13" s="1" t="s">
        <v>3</v>
      </c>
      <c r="B13" s="3">
        <v>1.4999999999999999E-2</v>
      </c>
      <c r="G13" s="1" t="s">
        <v>49</v>
      </c>
      <c r="H13" s="3">
        <f t="shared" si="0"/>
        <v>0.4</v>
      </c>
    </row>
    <row r="14" spans="1:11" x14ac:dyDescent="0.25">
      <c r="A14" s="1" t="s">
        <v>16</v>
      </c>
      <c r="B14" s="3">
        <v>0.01</v>
      </c>
      <c r="G14" s="1" t="s">
        <v>3</v>
      </c>
      <c r="H14" s="3">
        <f t="shared" si="0"/>
        <v>1.4999999999999999E-2</v>
      </c>
    </row>
    <row r="15" spans="1:11" x14ac:dyDescent="0.25">
      <c r="G15" s="1" t="s">
        <v>16</v>
      </c>
      <c r="H15" s="3">
        <f t="shared" si="0"/>
        <v>0.01</v>
      </c>
    </row>
    <row r="16" spans="1:11" x14ac:dyDescent="0.25">
      <c r="A16" s="1" t="s">
        <v>7</v>
      </c>
      <c r="G16" s="1"/>
    </row>
    <row r="17" spans="1:9" x14ac:dyDescent="0.25">
      <c r="A17" s="12" t="s">
        <v>8</v>
      </c>
      <c r="B17" s="4" t="s">
        <v>12</v>
      </c>
      <c r="C17" s="4" t="s">
        <v>13</v>
      </c>
      <c r="D17" s="4" t="s">
        <v>14</v>
      </c>
      <c r="H17" s="23" t="s">
        <v>52</v>
      </c>
      <c r="I17" s="24"/>
    </row>
    <row r="18" spans="1:9" x14ac:dyDescent="0.25">
      <c r="A18" s="1" t="s">
        <v>10</v>
      </c>
      <c r="B18" s="6">
        <f>100/((1+B12)^(B9-1)*(1+B8)^(B9-1))</f>
        <v>25.015106843055406</v>
      </c>
      <c r="C18" s="7">
        <f>B18/D18</f>
        <v>26.291128696376514</v>
      </c>
      <c r="D18" s="6">
        <f>1/(1+B8)^(B9)</f>
        <v>0.95146568760674888</v>
      </c>
      <c r="G18" s="19" t="s">
        <v>57</v>
      </c>
      <c r="H18" s="12" t="s">
        <v>53</v>
      </c>
      <c r="I18" s="12" t="s">
        <v>54</v>
      </c>
    </row>
    <row r="19" spans="1:9" x14ac:dyDescent="0.25">
      <c r="A19" s="1" t="s">
        <v>11</v>
      </c>
      <c r="G19" s="17" t="str">
        <f>C6</f>
        <v>Inicial</v>
      </c>
      <c r="H19" s="6">
        <f>IF(G19="","",(K7*H$6*(1+H$15))/((1-H$7)*(1-H$8)*(1-H$9)^5*(1-H$14)^5))</f>
        <v>6.5166567442022307</v>
      </c>
      <c r="I19" s="6">
        <f>IF(G19="","",K7*$H$6)</f>
        <v>5.4664723032069968</v>
      </c>
    </row>
    <row r="20" spans="1:9" x14ac:dyDescent="0.25">
      <c r="A20" s="1" t="s">
        <v>15</v>
      </c>
      <c r="B20" s="6">
        <f>(B18*B$5)*B$14*(1+B$6)*(1+B$7)</f>
        <v>5.462406295209004E-2</v>
      </c>
      <c r="C20" s="7">
        <f>B20/D$18</f>
        <v>5.7410439139941705E-2</v>
      </c>
      <c r="G20" s="17" t="str">
        <f t="shared" ref="G20:G23" si="5">C7</f>
        <v>Segunda</v>
      </c>
      <c r="H20" s="6">
        <f>IF(G20="","",(K8*H$6*(1+H$15))/((1-H$7)*(1-H$8)*(1-H$9)^4*(1-H$14)^4))</f>
        <v>2.5418871296435217</v>
      </c>
      <c r="I20" s="6">
        <f>IF(G20="","",K8*$H$6)</f>
        <v>2.1865889212827985</v>
      </c>
    </row>
    <row r="21" spans="1:9" x14ac:dyDescent="0.25">
      <c r="A21" s="1" t="s">
        <v>19</v>
      </c>
      <c r="B21" s="6">
        <f>B18*B$5</f>
        <v>5.2531724370416351</v>
      </c>
      <c r="C21" s="7">
        <f t="shared" ref="C21:C26" si="6">B21/D$18</f>
        <v>5.5211370262390673</v>
      </c>
      <c r="G21" s="17" t="str">
        <f t="shared" si="5"/>
        <v>Tercera</v>
      </c>
      <c r="H21" s="6">
        <f>IF(G21="","",(K9*H$6*(1+H$15))/((1-H$7)*(1-H$8)*(1-H$9)^3*(1-H$14)^3))</f>
        <v>3.4702097282606337</v>
      </c>
      <c r="I21" s="6">
        <f>IF(G21="","",K9*$H$6)</f>
        <v>3.0612244897959187</v>
      </c>
    </row>
    <row r="22" spans="1:9" x14ac:dyDescent="0.25">
      <c r="A22" s="1" t="s">
        <v>20</v>
      </c>
      <c r="B22" s="6">
        <f>(B20+B21)*B$13</f>
        <v>7.9616947499905874E-2</v>
      </c>
      <c r="C22" s="7">
        <f t="shared" si="6"/>
        <v>8.3678211980685133E-2</v>
      </c>
      <c r="G22" s="17" t="str">
        <f t="shared" si="5"/>
        <v>Cuarta</v>
      </c>
      <c r="H22" s="6">
        <f>IF(G22="","",(K10*H$6*(1+H$15))/((1-H$7)*(1-H$8)*(1-H$9)^2*(1-H$14)^2))</f>
        <v>4.737565023118699</v>
      </c>
      <c r="I22" s="6">
        <f>IF(G22="","",K10*$H$6)</f>
        <v>4.2857142857142856</v>
      </c>
    </row>
    <row r="23" spans="1:9" x14ac:dyDescent="0.25">
      <c r="A23" s="1" t="s">
        <v>21</v>
      </c>
      <c r="B23" s="6">
        <f>B21*B$6</f>
        <v>0.14446224201864497</v>
      </c>
      <c r="C23" s="7">
        <f t="shared" si="6"/>
        <v>0.15183126822157436</v>
      </c>
      <c r="G23" s="17" t="str">
        <f t="shared" si="5"/>
        <v>Final</v>
      </c>
      <c r="H23" s="6">
        <f>(K11*H$6)/((1-H$7)*(1-H$8)*(1-H$9)*(1-H$14))</f>
        <v>6.4037338071404735</v>
      </c>
      <c r="I23" s="6">
        <f t="shared" ref="I23" si="7">K11*$H$6</f>
        <v>5.9999999999999991</v>
      </c>
    </row>
    <row r="24" spans="1:9" x14ac:dyDescent="0.25">
      <c r="A24" s="1" t="s">
        <v>22</v>
      </c>
      <c r="B24" s="6">
        <f>B21*B$7</f>
        <v>6.3038069244499617E-2</v>
      </c>
      <c r="C24" s="7">
        <f t="shared" si="6"/>
        <v>6.6253644314868812E-2</v>
      </c>
      <c r="G24" s="18" t="s">
        <v>50</v>
      </c>
      <c r="H24" s="14">
        <f>SUM(H19:H23)</f>
        <v>23.670052432365559</v>
      </c>
      <c r="I24" s="14">
        <f>SUM(I19:I23)</f>
        <v>21</v>
      </c>
    </row>
    <row r="25" spans="1:9" x14ac:dyDescent="0.25">
      <c r="A25" s="1" t="s">
        <v>23</v>
      </c>
      <c r="B25" s="6">
        <f>B18+B20+B22+B23+B24</f>
        <v>25.356848164770547</v>
      </c>
      <c r="C25" s="7">
        <f t="shared" si="6"/>
        <v>26.650302260033584</v>
      </c>
      <c r="G25" s="18" t="s">
        <v>55</v>
      </c>
      <c r="H25" s="14">
        <f>H24-I24</f>
        <v>2.6700524323655586</v>
      </c>
    </row>
    <row r="26" spans="1:9" x14ac:dyDescent="0.25">
      <c r="A26" s="1" t="s">
        <v>24</v>
      </c>
      <c r="B26" s="6">
        <f>B25-B18</f>
        <v>0.3417413217151406</v>
      </c>
      <c r="C26" s="7">
        <f t="shared" si="6"/>
        <v>0.35917356365707009</v>
      </c>
    </row>
    <row r="28" spans="1:9" x14ac:dyDescent="0.25">
      <c r="A28" s="1" t="s">
        <v>25</v>
      </c>
    </row>
    <row r="29" spans="1:9" x14ac:dyDescent="0.25">
      <c r="A29" s="12" t="s">
        <v>8</v>
      </c>
      <c r="B29" s="4" t="s">
        <v>12</v>
      </c>
      <c r="C29" s="4" t="s">
        <v>13</v>
      </c>
      <c r="D29" s="4" t="s">
        <v>14</v>
      </c>
    </row>
    <row r="30" spans="1:9" x14ac:dyDescent="0.25">
      <c r="A30" s="1" t="s">
        <v>26</v>
      </c>
      <c r="B30" s="6">
        <f>B25</f>
        <v>25.356848164770547</v>
      </c>
      <c r="C30" s="6">
        <f>B30/D$30</f>
        <v>26.386437881221372</v>
      </c>
      <c r="D30" s="6">
        <f>1/(1+B8)^(B9-1)</f>
        <v>0.96098034448281622</v>
      </c>
    </row>
    <row r="31" spans="1:9" x14ac:dyDescent="0.25">
      <c r="A31" s="1" t="s">
        <v>27</v>
      </c>
      <c r="B31" s="6">
        <f>B30*B$12</f>
        <v>10.142739265908219</v>
      </c>
      <c r="C31" s="6">
        <f t="shared" ref="C31:C32" si="8">B31/D$30</f>
        <v>10.55457515248855</v>
      </c>
    </row>
    <row r="32" spans="1:9" x14ac:dyDescent="0.25">
      <c r="A32" s="14" t="s">
        <v>30</v>
      </c>
      <c r="B32" s="6">
        <f>B30*B$8</f>
        <v>0.25356848164770546</v>
      </c>
      <c r="C32" s="6">
        <f t="shared" si="8"/>
        <v>0.26386437881221375</v>
      </c>
    </row>
    <row r="33" spans="1:4" x14ac:dyDescent="0.25">
      <c r="A33" s="1" t="s">
        <v>11</v>
      </c>
    </row>
    <row r="34" spans="1:4" x14ac:dyDescent="0.25">
      <c r="A34" s="1" t="s">
        <v>15</v>
      </c>
      <c r="B34" s="6">
        <f>(B31*B$5)*B$14*(1+B$6)*(1+B$7)</f>
        <v>2.2148121598825621E-2</v>
      </c>
      <c r="C34" s="6">
        <f t="shared" ref="C34:C40" si="9">B34/D$30</f>
        <v>2.3047424149705554E-2</v>
      </c>
    </row>
    <row r="35" spans="1:4" x14ac:dyDescent="0.25">
      <c r="A35" s="1" t="s">
        <v>19</v>
      </c>
      <c r="B35" s="6">
        <f>B31*B$5</f>
        <v>2.129975245840726</v>
      </c>
      <c r="C35" s="6">
        <f t="shared" si="9"/>
        <v>2.2164607820225952</v>
      </c>
    </row>
    <row r="36" spans="1:4" x14ac:dyDescent="0.25">
      <c r="A36" s="1" t="s">
        <v>20</v>
      </c>
      <c r="B36" s="6">
        <f>(B34+B35)*B$13</f>
        <v>3.2281850511593276E-2</v>
      </c>
      <c r="C36" s="6">
        <f t="shared" si="9"/>
        <v>3.3592623092584518E-2</v>
      </c>
    </row>
    <row r="37" spans="1:4" x14ac:dyDescent="0.25">
      <c r="A37" s="1" t="s">
        <v>21</v>
      </c>
      <c r="B37" s="6">
        <f>B35*B$6</f>
        <v>5.8574319260619963E-2</v>
      </c>
      <c r="C37" s="6">
        <f t="shared" si="9"/>
        <v>6.0952671505621371E-2</v>
      </c>
    </row>
    <row r="38" spans="1:4" x14ac:dyDescent="0.25">
      <c r="A38" s="1" t="s">
        <v>22</v>
      </c>
      <c r="B38" s="6">
        <f>B35*B$7</f>
        <v>2.5559702950088713E-2</v>
      </c>
      <c r="C38" s="6">
        <f t="shared" si="9"/>
        <v>2.6597529384271144E-2</v>
      </c>
    </row>
    <row r="39" spans="1:4" x14ac:dyDescent="0.25">
      <c r="A39" s="1" t="s">
        <v>23</v>
      </c>
      <c r="B39" s="6">
        <f>B31+B34+B36+B37+B38</f>
        <v>10.281303260229345</v>
      </c>
      <c r="C39" s="6">
        <f t="shared" si="9"/>
        <v>10.698765400620731</v>
      </c>
    </row>
    <row r="40" spans="1:4" x14ac:dyDescent="0.25">
      <c r="A40" s="1" t="s">
        <v>24</v>
      </c>
      <c r="B40" s="6">
        <f>B39-B31+B32</f>
        <v>0.39213247596883177</v>
      </c>
      <c r="C40" s="6">
        <f t="shared" si="9"/>
        <v>0.40805462694439498</v>
      </c>
    </row>
    <row r="42" spans="1:4" x14ac:dyDescent="0.25">
      <c r="A42" s="1" t="s">
        <v>28</v>
      </c>
    </row>
    <row r="43" spans="1:4" x14ac:dyDescent="0.25">
      <c r="A43" s="12" t="s">
        <v>8</v>
      </c>
      <c r="B43" s="4" t="s">
        <v>12</v>
      </c>
      <c r="C43" s="4" t="s">
        <v>13</v>
      </c>
      <c r="D43" s="4" t="s">
        <v>14</v>
      </c>
    </row>
    <row r="44" spans="1:4" x14ac:dyDescent="0.25">
      <c r="A44" s="1" t="s">
        <v>26</v>
      </c>
      <c r="B44" s="6">
        <f>B39+B30</f>
        <v>35.63815142499989</v>
      </c>
      <c r="C44" s="6">
        <f>B44/D$30</f>
        <v>37.085203281842105</v>
      </c>
      <c r="D44" s="6">
        <f>1/(1+B8)^(B$9-2)</f>
        <v>0.97059014792764453</v>
      </c>
    </row>
    <row r="45" spans="1:4" x14ac:dyDescent="0.25">
      <c r="A45" s="1" t="s">
        <v>27</v>
      </c>
      <c r="B45" s="6">
        <f>B44*B$12*(1+B$8)</f>
        <v>14.397813175699955</v>
      </c>
      <c r="C45" s="6">
        <f t="shared" ref="C45:C46" si="10">B45/D$30</f>
        <v>14.982422125864209</v>
      </c>
    </row>
    <row r="46" spans="1:4" x14ac:dyDescent="0.25">
      <c r="A46" s="14" t="s">
        <v>30</v>
      </c>
      <c r="B46" s="6">
        <f>B44*B$8</f>
        <v>0.35638151424999892</v>
      </c>
      <c r="C46" s="6">
        <f t="shared" si="10"/>
        <v>0.37085203281842105</v>
      </c>
    </row>
    <row r="47" spans="1:4" x14ac:dyDescent="0.25">
      <c r="A47" s="1" t="s">
        <v>11</v>
      </c>
    </row>
    <row r="48" spans="1:4" x14ac:dyDescent="0.25">
      <c r="A48" s="1" t="s">
        <v>15</v>
      </c>
      <c r="B48" s="6">
        <f>(B45*B$5)*B$14*(1+B$6)*(1+B$7)</f>
        <v>3.1439683956424977E-2</v>
      </c>
      <c r="C48" s="6">
        <f t="shared" ref="C48:C54" si="11">B48/D$30</f>
        <v>3.2716261198188497E-2</v>
      </c>
    </row>
    <row r="49" spans="1:4" x14ac:dyDescent="0.25">
      <c r="A49" s="1" t="s">
        <v>19</v>
      </c>
      <c r="B49" s="6">
        <f>B45*B$5</f>
        <v>3.0235407668969905</v>
      </c>
      <c r="C49" s="6">
        <f t="shared" si="11"/>
        <v>3.1463086464314838</v>
      </c>
    </row>
    <row r="50" spans="1:4" x14ac:dyDescent="0.25">
      <c r="A50" s="1" t="s">
        <v>20</v>
      </c>
      <c r="B50" s="6">
        <f>(B48+B49)*B$13</f>
        <v>4.5824706762801232E-2</v>
      </c>
      <c r="C50" s="6">
        <f t="shared" si="11"/>
        <v>4.7685373614445081E-2</v>
      </c>
    </row>
    <row r="51" spans="1:4" x14ac:dyDescent="0.25">
      <c r="A51" s="1" t="s">
        <v>21</v>
      </c>
      <c r="B51" s="6">
        <f>B49*B$6</f>
        <v>8.3147371089667244E-2</v>
      </c>
      <c r="C51" s="6">
        <f t="shared" si="11"/>
        <v>8.6523487776865804E-2</v>
      </c>
    </row>
    <row r="52" spans="1:4" x14ac:dyDescent="0.25">
      <c r="A52" s="1" t="s">
        <v>22</v>
      </c>
      <c r="B52" s="6">
        <f>B49*B$7</f>
        <v>3.6282489202763883E-2</v>
      </c>
      <c r="C52" s="6">
        <f t="shared" si="11"/>
        <v>3.7755703757177801E-2</v>
      </c>
    </row>
    <row r="53" spans="1:4" x14ac:dyDescent="0.25">
      <c r="A53" s="1" t="s">
        <v>23</v>
      </c>
      <c r="B53" s="6">
        <f>B45+B48+B50+B51+B52</f>
        <v>14.594507426711612</v>
      </c>
      <c r="C53" s="6">
        <f t="shared" si="11"/>
        <v>15.187102952210886</v>
      </c>
    </row>
    <row r="54" spans="1:4" x14ac:dyDescent="0.25">
      <c r="A54" s="1" t="s">
        <v>24</v>
      </c>
      <c r="B54" s="6">
        <f>B53-B45+B46</f>
        <v>0.55307576526165558</v>
      </c>
      <c r="C54" s="6">
        <f t="shared" si="11"/>
        <v>0.57553285916509755</v>
      </c>
    </row>
    <row r="56" spans="1:4" x14ac:dyDescent="0.25">
      <c r="A56" s="1" t="s">
        <v>29</v>
      </c>
    </row>
    <row r="57" spans="1:4" x14ac:dyDescent="0.25">
      <c r="A57" s="12" t="s">
        <v>8</v>
      </c>
      <c r="B57" s="4" t="s">
        <v>12</v>
      </c>
      <c r="C57" s="4" t="s">
        <v>13</v>
      </c>
      <c r="D57" s="4" t="s">
        <v>14</v>
      </c>
    </row>
    <row r="58" spans="1:4" x14ac:dyDescent="0.25">
      <c r="A58" s="1" t="s">
        <v>26</v>
      </c>
      <c r="B58" s="6">
        <f>B54+B44</f>
        <v>36.191227190261543</v>
      </c>
      <c r="C58" s="6">
        <f>B58/D$30</f>
        <v>37.660736141007199</v>
      </c>
      <c r="D58" s="6">
        <f>1/(1+B8)^(B9-3)</f>
        <v>0.98029604940692083</v>
      </c>
    </row>
    <row r="59" spans="1:4" x14ac:dyDescent="0.25">
      <c r="A59" s="1" t="s">
        <v>27</v>
      </c>
      <c r="B59" s="6">
        <f>B58*B$12*(1+B$8)</f>
        <v>14.621255784865665</v>
      </c>
      <c r="C59" s="6">
        <f t="shared" ref="C59:C60" si="12">B59/D$30</f>
        <v>15.21493740096691</v>
      </c>
    </row>
    <row r="60" spans="1:4" x14ac:dyDescent="0.25">
      <c r="A60" s="14" t="s">
        <v>30</v>
      </c>
      <c r="B60" s="6">
        <f>B58*B$8</f>
        <v>0.36191227190261543</v>
      </c>
      <c r="C60" s="6">
        <f t="shared" si="12"/>
        <v>0.37660736141007195</v>
      </c>
    </row>
    <row r="61" spans="1:4" x14ac:dyDescent="0.25">
      <c r="A61" s="1" t="s">
        <v>11</v>
      </c>
    </row>
    <row r="62" spans="1:4" x14ac:dyDescent="0.25">
      <c r="A62" s="1" t="s">
        <v>15</v>
      </c>
      <c r="B62" s="6">
        <f>(B59*B$5)*B$14*(1+B$6)*(1+B$7)</f>
        <v>3.1927602845831418E-2</v>
      </c>
      <c r="C62" s="6">
        <f t="shared" ref="C62:C68" si="13">B62/D$30</f>
        <v>3.3223991551059588E-2</v>
      </c>
    </row>
    <row r="63" spans="1:4" x14ac:dyDescent="0.25">
      <c r="A63" s="1" t="s">
        <v>19</v>
      </c>
      <c r="B63" s="6">
        <f>B59*B$5</f>
        <v>3.0704637148217895</v>
      </c>
      <c r="C63" s="6">
        <f t="shared" si="13"/>
        <v>3.1951368542030507</v>
      </c>
    </row>
    <row r="64" spans="1:4" x14ac:dyDescent="0.25">
      <c r="A64" s="1" t="s">
        <v>20</v>
      </c>
      <c r="B64" s="6">
        <f>(B62+B63)*B$13</f>
        <v>4.6535869765014316E-2</v>
      </c>
      <c r="C64" s="6">
        <f t="shared" si="13"/>
        <v>4.8425412686311661E-2</v>
      </c>
    </row>
    <row r="65" spans="1:4" x14ac:dyDescent="0.25">
      <c r="A65" s="1" t="s">
        <v>21</v>
      </c>
      <c r="B65" s="6">
        <f>B63*B$6</f>
        <v>8.4437752157599216E-2</v>
      </c>
      <c r="C65" s="6">
        <f t="shared" si="13"/>
        <v>8.7866263490583907E-2</v>
      </c>
    </row>
    <row r="66" spans="1:4" x14ac:dyDescent="0.25">
      <c r="A66" s="1" t="s">
        <v>22</v>
      </c>
      <c r="B66" s="6">
        <f>B63*B$7</f>
        <v>3.6845564577861471E-2</v>
      </c>
      <c r="C66" s="6">
        <f t="shared" si="13"/>
        <v>3.8341642250436604E-2</v>
      </c>
    </row>
    <row r="67" spans="1:4" x14ac:dyDescent="0.25">
      <c r="A67" s="1" t="s">
        <v>23</v>
      </c>
      <c r="B67" s="6">
        <f>B59+B62+B64+B65+B66</f>
        <v>14.821002574211972</v>
      </c>
      <c r="C67" s="6">
        <f t="shared" si="13"/>
        <v>15.422794710945302</v>
      </c>
    </row>
    <row r="68" spans="1:4" x14ac:dyDescent="0.25">
      <c r="A68" s="1" t="s">
        <v>24</v>
      </c>
      <c r="B68" s="6">
        <f>B67-B59+B60</f>
        <v>0.56165906124892218</v>
      </c>
      <c r="C68" s="6">
        <f t="shared" si="13"/>
        <v>0.58446467138846403</v>
      </c>
    </row>
    <row r="70" spans="1:4" x14ac:dyDescent="0.25">
      <c r="A70" s="1" t="s">
        <v>42</v>
      </c>
    </row>
    <row r="71" spans="1:4" x14ac:dyDescent="0.25">
      <c r="A71" s="12" t="s">
        <v>8</v>
      </c>
      <c r="B71" s="4" t="s">
        <v>12</v>
      </c>
      <c r="C71" s="4" t="s">
        <v>13</v>
      </c>
      <c r="D71" s="4" t="s">
        <v>14</v>
      </c>
    </row>
    <row r="72" spans="1:4" x14ac:dyDescent="0.25">
      <c r="A72" s="1" t="s">
        <v>26</v>
      </c>
      <c r="B72" s="6">
        <f>B67+B58</f>
        <v>51.012229764473517</v>
      </c>
      <c r="C72" s="6">
        <f>B72/D$30</f>
        <v>53.083530851952503</v>
      </c>
      <c r="D72" s="6">
        <f>1/(1+B8)^(B9-5)</f>
        <v>1</v>
      </c>
    </row>
    <row r="73" spans="1:4" x14ac:dyDescent="0.25">
      <c r="A73" s="1" t="s">
        <v>27</v>
      </c>
      <c r="B73" s="6">
        <f>B72*B$12*(1+B$8)</f>
        <v>20.608940824847302</v>
      </c>
      <c r="C73" s="6">
        <f t="shared" ref="C73:C74" si="14">B73/D$30</f>
        <v>21.445746464188812</v>
      </c>
    </row>
    <row r="74" spans="1:4" x14ac:dyDescent="0.25">
      <c r="A74" s="14" t="s">
        <v>30</v>
      </c>
      <c r="B74" s="6">
        <f>B72*B$8</f>
        <v>0.51012229764473516</v>
      </c>
      <c r="C74" s="6">
        <f t="shared" si="14"/>
        <v>0.53083530851952498</v>
      </c>
    </row>
    <row r="75" spans="1:4" x14ac:dyDescent="0.25">
      <c r="A75" s="1" t="s">
        <v>11</v>
      </c>
    </row>
    <row r="76" spans="1:4" x14ac:dyDescent="0.25">
      <c r="A76" s="1" t="s">
        <v>15</v>
      </c>
      <c r="B76" s="6">
        <f>(B73*B$5)*B$14*(1+B$6)*(1+B$7)</f>
        <v>4.5002569369592044E-2</v>
      </c>
      <c r="C76" s="6">
        <f t="shared" ref="C76:C82" si="15">B76/D$30</f>
        <v>4.6829854146300656E-2</v>
      </c>
    </row>
    <row r="77" spans="1:4" x14ac:dyDescent="0.25">
      <c r="A77" s="1" t="s">
        <v>19</v>
      </c>
      <c r="B77" s="6">
        <f>B73*B$5</f>
        <v>4.3278775732179335</v>
      </c>
      <c r="C77" s="6">
        <f t="shared" si="15"/>
        <v>4.5036067574796501</v>
      </c>
    </row>
    <row r="78" spans="1:4" x14ac:dyDescent="0.25">
      <c r="A78" s="1" t="s">
        <v>20</v>
      </c>
      <c r="B78" s="6">
        <f>(B76+B77)*B$13</f>
        <v>6.5593202138812881E-2</v>
      </c>
      <c r="C78" s="6">
        <f t="shared" si="15"/>
        <v>6.8256549174389267E-2</v>
      </c>
    </row>
    <row r="79" spans="1:4" x14ac:dyDescent="0.25">
      <c r="A79" s="1" t="s">
        <v>21</v>
      </c>
      <c r="B79" s="6">
        <f>B77*B$6</f>
        <v>0.11901663326349317</v>
      </c>
      <c r="C79" s="6">
        <f t="shared" si="15"/>
        <v>0.12384918583069039</v>
      </c>
    </row>
    <row r="80" spans="1:4" x14ac:dyDescent="0.25">
      <c r="A80" s="1" t="s">
        <v>22</v>
      </c>
      <c r="B80" s="6">
        <f>B77*B$7</f>
        <v>5.1934530878615201E-2</v>
      </c>
      <c r="C80" s="6">
        <f t="shared" si="15"/>
        <v>5.4043281089755806E-2</v>
      </c>
    </row>
    <row r="81" spans="1:4" x14ac:dyDescent="0.25">
      <c r="A81" s="1" t="s">
        <v>23</v>
      </c>
      <c r="B81" s="6">
        <f>B73+B76+B78+B79+B80</f>
        <v>20.890487760497816</v>
      </c>
      <c r="C81" s="6">
        <f t="shared" si="15"/>
        <v>21.738725334429947</v>
      </c>
    </row>
    <row r="82" spans="1:4" x14ac:dyDescent="0.25">
      <c r="A82" s="1" t="s">
        <v>24</v>
      </c>
      <c r="B82" s="6">
        <f>B81-B73+B74</f>
        <v>0.79166923329524919</v>
      </c>
      <c r="C82" s="6">
        <f t="shared" si="15"/>
        <v>0.82381417876066187</v>
      </c>
    </row>
    <row r="84" spans="1:4" x14ac:dyDescent="0.25">
      <c r="A84" s="1" t="s">
        <v>31</v>
      </c>
    </row>
    <row r="85" spans="1:4" x14ac:dyDescent="0.25">
      <c r="A85" s="12" t="s">
        <v>8</v>
      </c>
      <c r="B85" s="4" t="s">
        <v>12</v>
      </c>
      <c r="C85" s="4" t="s">
        <v>13</v>
      </c>
      <c r="D85" s="4" t="s">
        <v>14</v>
      </c>
    </row>
    <row r="86" spans="1:4" x14ac:dyDescent="0.25">
      <c r="A86" s="1" t="s">
        <v>33</v>
      </c>
      <c r="B86" s="6">
        <v>100</v>
      </c>
      <c r="C86" s="6">
        <v>100</v>
      </c>
      <c r="D86" s="6">
        <v>1</v>
      </c>
    </row>
    <row r="87" spans="1:4" x14ac:dyDescent="0.25">
      <c r="A87" s="1" t="s">
        <v>35</v>
      </c>
      <c r="B87" s="6">
        <v>21</v>
      </c>
      <c r="C87" s="6">
        <v>21</v>
      </c>
      <c r="D87" s="6"/>
    </row>
    <row r="88" spans="1:4" x14ac:dyDescent="0.25">
      <c r="A88" s="1" t="s">
        <v>34</v>
      </c>
      <c r="B88" s="6">
        <f>(D6*B$5)*((1+B$8)^(B$9-1)-1)+(D7*B$5)*((1+B$8)^(B$9-2)-1)+(D8*B$5)*((1+B$8)^(B$9-3)-1)+(D9*B$5)*((1+B$8)^(B$9-4)-1)</f>
        <v>0.81921324708454768</v>
      </c>
      <c r="C88" s="6">
        <v>3.81</v>
      </c>
      <c r="D88" s="6"/>
    </row>
    <row r="89" spans="1:4" x14ac:dyDescent="0.25">
      <c r="A89" s="1" t="s">
        <v>36</v>
      </c>
      <c r="B89" s="6">
        <f>B20+B34+B48+B62</f>
        <v>0.14013947135317206</v>
      </c>
      <c r="C89" s="6">
        <f>B89</f>
        <v>0.14013947135317206</v>
      </c>
      <c r="D89" s="6"/>
    </row>
    <row r="90" spans="1:4" x14ac:dyDescent="0.25">
      <c r="A90" s="1" t="s">
        <v>37</v>
      </c>
      <c r="B90" s="6">
        <f>B89*B5</f>
        <v>2.9429288984166132E-2</v>
      </c>
      <c r="C90" s="6">
        <f t="shared" ref="C90:C94" si="16">B90</f>
        <v>2.9429288984166132E-2</v>
      </c>
      <c r="D90" s="6"/>
    </row>
    <row r="91" spans="1:4" x14ac:dyDescent="0.25">
      <c r="A91" s="1" t="s">
        <v>38</v>
      </c>
      <c r="B91" s="6">
        <f>B22+B36+B50+B64+B23+B38+B52+B66</f>
        <v>0.4474093732886737</v>
      </c>
      <c r="C91" s="6">
        <f t="shared" si="16"/>
        <v>0.4474093732886737</v>
      </c>
      <c r="D91" s="6"/>
    </row>
    <row r="92" spans="1:4" x14ac:dyDescent="0.25">
      <c r="A92" s="1" t="s">
        <v>39</v>
      </c>
      <c r="B92" s="6">
        <f>B91*B7</f>
        <v>5.3689124794640847E-3</v>
      </c>
      <c r="C92" s="6">
        <f t="shared" si="16"/>
        <v>5.3689124794640847E-3</v>
      </c>
      <c r="D92" s="6"/>
    </row>
    <row r="93" spans="1:4" x14ac:dyDescent="0.25">
      <c r="A93" s="15" t="s">
        <v>40</v>
      </c>
      <c r="B93" s="6">
        <f>SUM(B87:B92)</f>
        <v>22.441560293190026</v>
      </c>
      <c r="C93" s="6">
        <f t="shared" si="16"/>
        <v>22.441560293190026</v>
      </c>
      <c r="D93" s="6"/>
    </row>
    <row r="94" spans="1:4" x14ac:dyDescent="0.25">
      <c r="A94" s="15" t="s">
        <v>41</v>
      </c>
      <c r="B94" s="6">
        <f>B93-B87</f>
        <v>1.441560293190026</v>
      </c>
      <c r="C94" s="6">
        <f t="shared" si="16"/>
        <v>1.441560293190026</v>
      </c>
      <c r="D94" s="6"/>
    </row>
    <row r="95" spans="1:4" x14ac:dyDescent="0.25">
      <c r="B95" s="6"/>
      <c r="C95" s="6"/>
      <c r="D95" s="6"/>
    </row>
  </sheetData>
  <sheetProtection password="9702" sheet="1" objects="1" scenarios="1"/>
  <protectedRanges>
    <protectedRange sqref="D10" name="Rango1"/>
    <protectedRange sqref="B5:B14" name="Rango2"/>
  </protectedRanges>
  <mergeCells count="5">
    <mergeCell ref="D4:E4"/>
    <mergeCell ref="C4:C5"/>
    <mergeCell ref="I5:I6"/>
    <mergeCell ref="J5:K5"/>
    <mergeCell ref="H17:I17"/>
  </mergeCells>
  <pageMargins left="0.70866141732283472" right="0.70866141732283472" top="0.74803149606299213" bottom="0.74803149606299213" header="0.31496062992125984" footer="0.31496062992125984"/>
  <pageSetup scale="49" orientation="portrait" verticalDpi="0" r:id="rId1"/>
  <headerFooter>
    <oddHeader>&amp;CInflcIVA.xlsx</oddHead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Martín</dc:creator>
  <cp:lastModifiedBy>MAM</cp:lastModifiedBy>
  <cp:lastPrinted>2018-11-29T13:12:37Z</cp:lastPrinted>
  <dcterms:created xsi:type="dcterms:W3CDTF">2018-11-20T14:40:39Z</dcterms:created>
  <dcterms:modified xsi:type="dcterms:W3CDTF">2021-12-23T18:57:03Z</dcterms:modified>
</cp:coreProperties>
</file>